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<sst xmlns="http://schemas.openxmlformats.org/spreadsheetml/2006/main" count="1600" uniqueCount="315">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</sst>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495009.3900000001</v>
      </c>
      <c r="G8" s="18">
        <f aca="true" t="shared" si="0" ref="G8:G54">F8-E8</f>
        <v>-8516.079999999958</v>
      </c>
      <c r="H8" s="45">
        <f>F8/E8*100</f>
        <v>98.3087091900237</v>
      </c>
      <c r="I8" s="31">
        <f aca="true" t="shared" si="1" ref="I8:I54">F8-D8</f>
        <v>-77279.60999999993</v>
      </c>
      <c r="J8" s="31">
        <f aca="true" t="shared" si="2" ref="J8:J14">F8/D8*100</f>
        <v>86.49640129375194</v>
      </c>
      <c r="K8" s="18">
        <f>K9+K15+K18+K19+K20+K32</f>
        <v>93784.59800000001</v>
      </c>
      <c r="L8" s="18"/>
      <c r="M8" s="18">
        <f>M9+M15+M18+M19+M20+M32+M17</f>
        <v>44772.97000000001</v>
      </c>
      <c r="N8" s="18">
        <f>N9+N15+N18+N19+N20+N32+N17</f>
        <v>14130.14000000005</v>
      </c>
      <c r="O8" s="31">
        <f aca="true" t="shared" si="3" ref="O8:O54">N8-M8</f>
        <v>-30642.829999999958</v>
      </c>
      <c r="P8" s="31">
        <f>F8/M8*100</f>
        <v>1105.5987351297</v>
      </c>
      <c r="Q8" s="31">
        <f>N8-33748.16</f>
        <v>-19618.019999999953</v>
      </c>
      <c r="R8" s="125">
        <f>N8/33748.16</f>
        <v>0.418693641371857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274481.63</v>
      </c>
      <c r="G9" s="43">
        <f t="shared" si="0"/>
        <v>4616.510000000009</v>
      </c>
      <c r="H9" s="35">
        <f aca="true" t="shared" si="4" ref="H9:H32">F9/E9*100</f>
        <v>101.71067309476676</v>
      </c>
      <c r="I9" s="50">
        <f t="shared" si="1"/>
        <v>-38208.369999999995</v>
      </c>
      <c r="J9" s="50">
        <f t="shared" si="2"/>
        <v>87.7807509034507</v>
      </c>
      <c r="K9" s="132">
        <f>F9-316022.19/75*60</f>
        <v>21663.877999999997</v>
      </c>
      <c r="L9" s="132">
        <f>F9/(316022.19/75*60)*100</f>
        <v>108.56897026756253</v>
      </c>
      <c r="M9" s="35">
        <f>E9-вересень!E9</f>
        <v>21250.570000000007</v>
      </c>
      <c r="N9" s="35">
        <f>F9-вересень!F9</f>
        <v>10106.22000000003</v>
      </c>
      <c r="O9" s="47">
        <f t="shared" si="3"/>
        <v>-11144.349999999977</v>
      </c>
      <c r="P9" s="50">
        <f aca="true" t="shared" si="5" ref="P9:P32">N9/M9*100</f>
        <v>47.55740669544406</v>
      </c>
      <c r="Q9" s="132">
        <f>N9-26568.11</f>
        <v>-16461.88999999997</v>
      </c>
      <c r="R9" s="133">
        <f>N9/26568.11</f>
        <v>0.38038912064125113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243404.82</v>
      </c>
      <c r="G10" s="135">
        <f t="shared" si="0"/>
        <v>7444</v>
      </c>
      <c r="H10" s="137">
        <f t="shared" si="4"/>
        <v>103.15476103193741</v>
      </c>
      <c r="I10" s="136">
        <f t="shared" si="1"/>
        <v>2994.820000000007</v>
      </c>
      <c r="J10" s="136">
        <f t="shared" si="2"/>
        <v>101.24571357264674</v>
      </c>
      <c r="K10" s="138">
        <f>F10-281171.58/75*60</f>
        <v>18467.55600000001</v>
      </c>
      <c r="L10" s="138">
        <f>F10/(281171.58/75*60)*100</f>
        <v>108.2100918592128</v>
      </c>
      <c r="M10" s="137">
        <f>E10-вересень!E10</f>
        <v>17470.570000000007</v>
      </c>
      <c r="N10" s="137">
        <f>F10-вересень!F10</f>
        <v>9468.339999999997</v>
      </c>
      <c r="O10" s="138">
        <f t="shared" si="3"/>
        <v>-8002.2300000000105</v>
      </c>
      <c r="P10" s="136">
        <f t="shared" si="5"/>
        <v>54.195942090040525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14036.62</v>
      </c>
      <c r="G11" s="135">
        <f t="shared" si="0"/>
        <v>-4881.280000000001</v>
      </c>
      <c r="H11" s="137">
        <f t="shared" si="4"/>
        <v>74.19755892567356</v>
      </c>
      <c r="I11" s="136">
        <f t="shared" si="1"/>
        <v>-9663.38</v>
      </c>
      <c r="J11" s="136">
        <f t="shared" si="2"/>
        <v>59.2262447257384</v>
      </c>
      <c r="K11" s="138">
        <f>F11-21169.22/75*60</f>
        <v>-2898.756000000003</v>
      </c>
      <c r="L11" s="138">
        <f>F11/(21169.22/75*60)*100</f>
        <v>82.88342697558056</v>
      </c>
      <c r="M11" s="137">
        <f>E11-вересень!E11</f>
        <v>2130</v>
      </c>
      <c r="N11" s="137">
        <f>F11-вересень!F11</f>
        <v>33.93000000000029</v>
      </c>
      <c r="O11" s="138">
        <f t="shared" si="3"/>
        <v>-2096.0699999999997</v>
      </c>
      <c r="P11" s="136">
        <f t="shared" si="5"/>
        <v>1.5929577464788867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3914.26</v>
      </c>
      <c r="G12" s="135">
        <f t="shared" si="0"/>
        <v>-534.7399999999998</v>
      </c>
      <c r="H12" s="137">
        <f t="shared" si="4"/>
        <v>87.98066981344122</v>
      </c>
      <c r="I12" s="136">
        <f t="shared" si="1"/>
        <v>-1885.7399999999998</v>
      </c>
      <c r="J12" s="136">
        <f t="shared" si="2"/>
        <v>67.48724137931035</v>
      </c>
      <c r="K12" s="138">
        <f>F12-5687.46/75*60</f>
        <v>-635.7080000000005</v>
      </c>
      <c r="L12" s="138">
        <f>F12/(5687.46*60)*100</f>
        <v>1.1470439645582857</v>
      </c>
      <c r="M12" s="137">
        <f>E12-вересень!E12</f>
        <v>540</v>
      </c>
      <c r="N12" s="137">
        <f>F12-вересень!F12</f>
        <v>169.62000000000035</v>
      </c>
      <c r="O12" s="138">
        <f t="shared" si="3"/>
        <v>-370.37999999999965</v>
      </c>
      <c r="P12" s="136">
        <f t="shared" si="5"/>
        <v>31.411111111111172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5847.62</v>
      </c>
      <c r="G13" s="135">
        <f t="shared" si="0"/>
        <v>-1095.7799999999997</v>
      </c>
      <c r="H13" s="137">
        <f t="shared" si="4"/>
        <v>84.21839444652475</v>
      </c>
      <c r="I13" s="136">
        <f t="shared" si="1"/>
        <v>-2552.38</v>
      </c>
      <c r="J13" s="136">
        <f t="shared" si="2"/>
        <v>69.6145238095238</v>
      </c>
      <c r="K13" s="138">
        <f>F13-7878.81/75*60</f>
        <v>-455.4280000000008</v>
      </c>
      <c r="L13" s="138">
        <f>F13/(7878.81/75*60)*100</f>
        <v>92.7744799024218</v>
      </c>
      <c r="M13" s="137">
        <f>E13-вересень!E13</f>
        <v>720</v>
      </c>
      <c r="N13" s="137">
        <f>F13-вересень!F13</f>
        <v>117.38000000000011</v>
      </c>
      <c r="O13" s="138">
        <f t="shared" si="3"/>
        <v>-602.6199999999999</v>
      </c>
      <c r="P13" s="136">
        <f t="shared" si="5"/>
        <v>16.302777777777795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7278.31</v>
      </c>
      <c r="G14" s="135">
        <f t="shared" si="0"/>
        <v>3684.3100000000004</v>
      </c>
      <c r="H14" s="137">
        <f t="shared" si="4"/>
        <v>202.51279910962717</v>
      </c>
      <c r="I14" s="136">
        <f t="shared" si="1"/>
        <v>2898.3100000000004</v>
      </c>
      <c r="J14" s="136">
        <f t="shared" si="2"/>
        <v>166.17146118721462</v>
      </c>
      <c r="K14" s="138">
        <f>F14-115.12/75*60</f>
        <v>7186.214</v>
      </c>
      <c r="L14" s="138">
        <f>F14/(115.12/75*60)*100</f>
        <v>7902.959954829743</v>
      </c>
      <c r="M14" s="137">
        <f>E14-вересень!E14</f>
        <v>390</v>
      </c>
      <c r="N14" s="137">
        <f>F14-вересень!F14</f>
        <v>316.9500000000007</v>
      </c>
      <c r="O14" s="138">
        <f t="shared" si="3"/>
        <v>-73.04999999999927</v>
      </c>
      <c r="P14" s="136">
        <f t="shared" si="5"/>
        <v>81.26923076923096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F15-(-880.89)</f>
        <v>214.19999999999993</v>
      </c>
      <c r="L15" s="53">
        <f>F15/(-880.89)*100</f>
        <v>75.68368354732146</v>
      </c>
      <c r="M15" s="35">
        <f>E15-вересень!E15</f>
        <v>0</v>
      </c>
      <c r="N15" s="35">
        <f>F15-вересень!F15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51562.01</v>
      </c>
      <c r="G19" s="43">
        <f t="shared" si="0"/>
        <v>-5960.739999999998</v>
      </c>
      <c r="H19" s="35">
        <f t="shared" si="4"/>
        <v>89.63759556001756</v>
      </c>
      <c r="I19" s="50">
        <f t="shared" si="1"/>
        <v>-10647.989999999998</v>
      </c>
      <c r="J19" s="178">
        <f>F19/D19*100</f>
        <v>82.88379681723195</v>
      </c>
      <c r="K19" s="179">
        <f>F19-0</f>
        <v>51562.01</v>
      </c>
      <c r="L19" s="180"/>
      <c r="M19" s="35">
        <f>E19-вересень!E19</f>
        <v>6800</v>
      </c>
      <c r="N19" s="35">
        <f>F19-вересень!F19</f>
        <v>93.13999999999942</v>
      </c>
      <c r="O19" s="47">
        <f t="shared" si="3"/>
        <v>-6706.860000000001</v>
      </c>
      <c r="P19" s="50">
        <f t="shared" si="5"/>
        <v>1.3697058823529327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164036.30000000002</v>
      </c>
      <c r="G20" s="43">
        <f t="shared" si="0"/>
        <v>-6157.599999999977</v>
      </c>
      <c r="H20" s="35">
        <f t="shared" si="4"/>
        <v>96.38200899092155</v>
      </c>
      <c r="I20" s="50">
        <f t="shared" si="1"/>
        <v>-25833.699999999983</v>
      </c>
      <c r="J20" s="178">
        <f aca="true" t="shared" si="6" ref="J20:J46">F20/D20*100</f>
        <v>86.39400642544899</v>
      </c>
      <c r="K20" s="178">
        <f>K21+K25+K26+K27</f>
        <v>22130.73000000001</v>
      </c>
      <c r="L20" s="136"/>
      <c r="M20" s="35">
        <f>E20-вересень!E20</f>
        <v>16715.5</v>
      </c>
      <c r="N20" s="35">
        <f>F20-вересень!F20</f>
        <v>3929.710000000021</v>
      </c>
      <c r="O20" s="47">
        <f t="shared" si="3"/>
        <v>-12785.789999999979</v>
      </c>
      <c r="P20" s="50">
        <f t="shared" si="5"/>
        <v>23.50937752385523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90107.97</v>
      </c>
      <c r="G21" s="43">
        <f t="shared" si="0"/>
        <v>-6174.429999999993</v>
      </c>
      <c r="H21" s="35">
        <f t="shared" si="4"/>
        <v>93.58716650187367</v>
      </c>
      <c r="I21" s="50">
        <f t="shared" si="1"/>
        <v>-20192.03</v>
      </c>
      <c r="J21" s="178">
        <f t="shared" si="6"/>
        <v>81.69353581142339</v>
      </c>
      <c r="K21" s="178">
        <f>K22+K23+K24</f>
        <v>21404.13</v>
      </c>
      <c r="L21" s="136"/>
      <c r="M21" s="35">
        <f>E21-вересень!E21</f>
        <v>10382</v>
      </c>
      <c r="N21" s="35">
        <f>F21-вересень!F21</f>
        <v>1128.6500000000087</v>
      </c>
      <c r="O21" s="47">
        <f t="shared" si="3"/>
        <v>-9253.349999999991</v>
      </c>
      <c r="P21" s="50">
        <f t="shared" si="5"/>
        <v>10.871219418223934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9466.64</v>
      </c>
      <c r="G22" s="135">
        <f t="shared" si="0"/>
        <v>-1178.7600000000002</v>
      </c>
      <c r="H22" s="137">
        <f t="shared" si="4"/>
        <v>88.92704830255322</v>
      </c>
      <c r="I22" s="136">
        <f t="shared" si="1"/>
        <v>-1233.3600000000006</v>
      </c>
      <c r="J22" s="136">
        <f t="shared" si="6"/>
        <v>88.47327102803739</v>
      </c>
      <c r="K22" s="136">
        <f>F22-437</f>
        <v>9029.64</v>
      </c>
      <c r="L22" s="136">
        <f>F22/437*100</f>
        <v>2166.279176201373</v>
      </c>
      <c r="M22" s="137">
        <f>E22-вересень!E22</f>
        <v>1851</v>
      </c>
      <c r="N22" s="137">
        <f>F22-вересень!F22</f>
        <v>334.9599999999991</v>
      </c>
      <c r="O22" s="138">
        <f t="shared" si="3"/>
        <v>-1516.0400000000009</v>
      </c>
      <c r="P22" s="136">
        <f t="shared" si="5"/>
        <v>18.096164235548304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3367.41</v>
      </c>
      <c r="G23" s="135">
        <f t="shared" si="0"/>
        <v>1275.4099999999999</v>
      </c>
      <c r="H23" s="137">
        <f t="shared" si="4"/>
        <v>160.96606118546845</v>
      </c>
      <c r="I23" s="136">
        <f t="shared" si="1"/>
        <v>1267.4099999999999</v>
      </c>
      <c r="J23" s="136">
        <f t="shared" si="6"/>
        <v>160.35285714285715</v>
      </c>
      <c r="K23" s="136">
        <f>F23-0</f>
        <v>3367.41</v>
      </c>
      <c r="L23" s="136"/>
      <c r="M23" s="137">
        <f>E23-вересень!E23</f>
        <v>305</v>
      </c>
      <c r="N23" s="137">
        <f>F23-вересень!F23</f>
        <v>33.779999999999745</v>
      </c>
      <c r="O23" s="138">
        <f t="shared" si="3"/>
        <v>-271.22000000000025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77273.92</v>
      </c>
      <c r="G24" s="135">
        <f t="shared" si="0"/>
        <v>-6271.080000000002</v>
      </c>
      <c r="H24" s="137">
        <f t="shared" si="4"/>
        <v>92.4937698246454</v>
      </c>
      <c r="I24" s="136">
        <f t="shared" si="1"/>
        <v>-20226.08</v>
      </c>
      <c r="J24" s="136">
        <f t="shared" si="6"/>
        <v>79.25530256410256</v>
      </c>
      <c r="K24" s="224">
        <f>F24-68266.84</f>
        <v>9007.080000000002</v>
      </c>
      <c r="L24" s="224">
        <f>F24/68266.84*100</f>
        <v>113.1939313435337</v>
      </c>
      <c r="M24" s="137">
        <f>E24-вересень!E24</f>
        <v>8226</v>
      </c>
      <c r="N24" s="137">
        <f>F24-вересень!F24</f>
        <v>759.9100000000035</v>
      </c>
      <c r="O24" s="138">
        <f t="shared" si="3"/>
        <v>-7466.0899999999965</v>
      </c>
      <c r="P24" s="136">
        <f t="shared" si="5"/>
        <v>9.237904206175584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-718.23</v>
      </c>
      <c r="G26" s="43">
        <f t="shared" si="0"/>
        <v>-718.23</v>
      </c>
      <c r="H26" s="35"/>
      <c r="I26" s="50">
        <f t="shared" si="1"/>
        <v>-718.23</v>
      </c>
      <c r="J26" s="136"/>
      <c r="K26" s="178">
        <f>F26-5295.66</f>
        <v>-6013.889999999999</v>
      </c>
      <c r="L26" s="178">
        <f>F26/5295.66*100</f>
        <v>-13.56261542470627</v>
      </c>
      <c r="M26" s="35">
        <f>E26-вересень!E26</f>
        <v>0</v>
      </c>
      <c r="N26" s="35">
        <f>F26-вересень!F26</f>
        <v>-12.25</v>
      </c>
      <c r="O26" s="47">
        <f t="shared" si="3"/>
        <v>-12.25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74590.71</v>
      </c>
      <c r="G27" s="43">
        <f t="shared" si="0"/>
        <v>730.7100000000064</v>
      </c>
      <c r="H27" s="35">
        <f t="shared" si="4"/>
        <v>100.98931762794476</v>
      </c>
      <c r="I27" s="50">
        <f t="shared" si="1"/>
        <v>-4909.289999999994</v>
      </c>
      <c r="J27" s="178">
        <f t="shared" si="6"/>
        <v>93.8247924528302</v>
      </c>
      <c r="K27" s="132">
        <f>F27-67857.28</f>
        <v>6733.430000000008</v>
      </c>
      <c r="L27" s="132">
        <f>F27/67857.28*100</f>
        <v>109.92292941892161</v>
      </c>
      <c r="M27" s="35">
        <f>E27-вересень!E27</f>
        <v>6323.5</v>
      </c>
      <c r="N27" s="35">
        <f>F27-вересень!F27</f>
        <v>2813.310000000012</v>
      </c>
      <c r="O27" s="47">
        <f t="shared" si="3"/>
        <v>-3510.189999999988</v>
      </c>
      <c r="P27" s="50">
        <f t="shared" si="5"/>
        <v>44.48976041749051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18044.76</v>
      </c>
      <c r="G29" s="135">
        <f t="shared" si="0"/>
        <v>-35.2400000000016</v>
      </c>
      <c r="H29" s="137">
        <f t="shared" si="4"/>
        <v>99.8050884955752</v>
      </c>
      <c r="I29" s="136">
        <f t="shared" si="1"/>
        <v>-1155.2400000000016</v>
      </c>
      <c r="J29" s="136">
        <f t="shared" si="6"/>
        <v>93.98312499999999</v>
      </c>
      <c r="K29" s="139">
        <f>F29-18415.97</f>
        <v>-371.21000000000276</v>
      </c>
      <c r="L29" s="139">
        <f>F29/18415.97*100</f>
        <v>97.98430384063396</v>
      </c>
      <c r="M29" s="137">
        <f>E29-вересень!E29</f>
        <v>1300</v>
      </c>
      <c r="N29" s="137">
        <f>F29-вересень!F29</f>
        <v>305</v>
      </c>
      <c r="O29" s="138">
        <f t="shared" si="3"/>
        <v>-995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56524.29</v>
      </c>
      <c r="G30" s="135">
        <f t="shared" si="0"/>
        <v>744.2900000000009</v>
      </c>
      <c r="H30" s="137">
        <f t="shared" si="4"/>
        <v>101.33433130154177</v>
      </c>
      <c r="I30" s="136">
        <f t="shared" si="1"/>
        <v>-3775.709999999999</v>
      </c>
      <c r="J30" s="136">
        <f t="shared" si="6"/>
        <v>93.73845771144279</v>
      </c>
      <c r="K30" s="139">
        <f>F30-49440.11</f>
        <v>7084.18</v>
      </c>
      <c r="L30" s="139">
        <f>F30/49440.11*100</f>
        <v>114.32881116162565</v>
      </c>
      <c r="M30" s="137">
        <f>E30-вересень!E30</f>
        <v>5023.5</v>
      </c>
      <c r="N30" s="137">
        <f>F30-вересень!F30</f>
        <v>2508.3199999999997</v>
      </c>
      <c r="O30" s="138">
        <f t="shared" si="3"/>
        <v>-2515.1800000000003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5580.25</v>
      </c>
      <c r="G32" s="43">
        <f t="shared" si="0"/>
        <v>-179.05000000000018</v>
      </c>
      <c r="H32" s="35">
        <f t="shared" si="4"/>
        <v>96.89111523969926</v>
      </c>
      <c r="I32" s="50">
        <f t="shared" si="1"/>
        <v>-1919.75</v>
      </c>
      <c r="J32" s="178">
        <f t="shared" si="6"/>
        <v>74.40333333333334</v>
      </c>
      <c r="K32" s="178">
        <f>F32-7378.96</f>
        <v>-1798.71</v>
      </c>
      <c r="L32" s="178">
        <f>F32/7378.96*100</f>
        <v>75.62380064399319</v>
      </c>
      <c r="M32" s="35">
        <f>E32-вересень!E32</f>
        <v>6.900000000000546</v>
      </c>
      <c r="N32" s="35">
        <f>F32-вересень!F32</f>
        <v>1.069999999999709</v>
      </c>
      <c r="O32" s="47">
        <f t="shared" si="3"/>
        <v>-5.830000000000837</v>
      </c>
      <c r="P32" s="50">
        <f t="shared" si="5"/>
        <v>15.50724637680615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33914.1</v>
      </c>
      <c r="G33" s="44">
        <f t="shared" si="0"/>
        <v>1363.829999999998</v>
      </c>
      <c r="H33" s="45">
        <f aca="true" t="shared" si="7" ref="H33:H38">F33/E33*100</f>
        <v>104.18991916196086</v>
      </c>
      <c r="I33" s="31">
        <f t="shared" si="1"/>
        <v>-1725.4700000000012</v>
      </c>
      <c r="J33" s="31">
        <f t="shared" si="6"/>
        <v>95.15855550445754</v>
      </c>
      <c r="K33" s="18">
        <f>K34+K35+K36+K37+K38+K41+K42+K47+K48+K52+K40</f>
        <v>23125.93</v>
      </c>
      <c r="L33" s="18"/>
      <c r="M33" s="18">
        <f>M34+M35+M36+M37+M38+M41+M42+M47+M48+M52+M40+M39</f>
        <v>5900.27</v>
      </c>
      <c r="N33" s="18">
        <f>N34+N35+N36+N37+N38+N41+N42+N47+N48+N52+N40+N39</f>
        <v>5669.469999999999</v>
      </c>
      <c r="O33" s="49">
        <f t="shared" si="3"/>
        <v>-230.8000000000011</v>
      </c>
      <c r="P33" s="31">
        <f>N33/M33*100</f>
        <v>96.08831460255207</v>
      </c>
      <c r="Q33" s="31">
        <f>N33-1017.63</f>
        <v>4651.839999999999</v>
      </c>
      <c r="R33" s="127">
        <f>N33/1017.63</f>
        <v>5.571248882206695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328.12</v>
      </c>
      <c r="G36" s="43">
        <f t="shared" si="0"/>
        <v>88.12</v>
      </c>
      <c r="H36" s="35">
        <f t="shared" si="7"/>
        <v>136.71666666666667</v>
      </c>
      <c r="I36" s="50">
        <f t="shared" si="1"/>
        <v>88.12</v>
      </c>
      <c r="J36" s="50"/>
      <c r="K36" s="50">
        <f>F36-279.6</f>
        <v>48.51999999999998</v>
      </c>
      <c r="L36" s="50">
        <f>F36/279.6*100</f>
        <v>117.3533619456366</v>
      </c>
      <c r="M36" s="35">
        <f>E36-вересень!E36</f>
        <v>0</v>
      </c>
      <c r="N36" s="35">
        <f>F36-вересень!F36</f>
        <v>6.139999999999986</v>
      </c>
      <c r="O36" s="47">
        <f t="shared" si="3"/>
        <v>6.139999999999986</v>
      </c>
      <c r="P36" s="50"/>
      <c r="Q36" s="50">
        <f>N36-4.23</f>
        <v>1.909999999999986</v>
      </c>
      <c r="R36" s="126">
        <f>N36/4.23</f>
        <v>1.4515366430260013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118.33</v>
      </c>
      <c r="G38" s="43">
        <f t="shared" si="0"/>
        <v>-1.6700000000000017</v>
      </c>
      <c r="H38" s="35">
        <f t="shared" si="7"/>
        <v>98.60833333333333</v>
      </c>
      <c r="I38" s="50">
        <f t="shared" si="1"/>
        <v>-21.67</v>
      </c>
      <c r="J38" s="50">
        <f t="shared" si="6"/>
        <v>84.52142857142857</v>
      </c>
      <c r="K38" s="50">
        <f>F38-112.45</f>
        <v>5.8799999999999955</v>
      </c>
      <c r="L38" s="50">
        <f>F38/112.45*100</f>
        <v>105.22899066251668</v>
      </c>
      <c r="M38" s="35">
        <f>E38-вересень!E38</f>
        <v>15</v>
      </c>
      <c r="N38" s="35">
        <f>F38-вересень!F38</f>
        <v>1.2199999999999989</v>
      </c>
      <c r="O38" s="47">
        <f t="shared" si="3"/>
        <v>-13.780000000000001</v>
      </c>
      <c r="P38" s="50">
        <f>N38/M38*100</f>
        <v>8.133333333333326</v>
      </c>
      <c r="Q38" s="50">
        <f>N38-9.02</f>
        <v>-7.800000000000001</v>
      </c>
      <c r="R38" s="126">
        <f>N38/9.02</f>
        <v>0.1352549889135254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7882.28</v>
      </c>
      <c r="G40" s="43">
        <f t="shared" si="0"/>
        <v>-954.7200000000003</v>
      </c>
      <c r="H40" s="35">
        <f aca="true" t="shared" si="8" ref="H40:H46">F40/E40*100</f>
        <v>89.19633359737466</v>
      </c>
      <c r="I40" s="50">
        <f t="shared" si="1"/>
        <v>-1117.7200000000003</v>
      </c>
      <c r="J40" s="50"/>
      <c r="K40" s="50">
        <f>F40-0</f>
        <v>7882.28</v>
      </c>
      <c r="L40" s="50"/>
      <c r="M40" s="35">
        <f>E40-вересень!E40</f>
        <v>900</v>
      </c>
      <c r="N40" s="35">
        <f>F40-вересень!F40</f>
        <v>276.8199999999997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5894.07</v>
      </c>
      <c r="G42" s="43">
        <f t="shared" si="0"/>
        <v>-497.2300000000005</v>
      </c>
      <c r="H42" s="35">
        <f t="shared" si="8"/>
        <v>92.2202055919766</v>
      </c>
      <c r="I42" s="50">
        <f t="shared" si="1"/>
        <v>-1205.9300000000003</v>
      </c>
      <c r="J42" s="50">
        <f t="shared" si="6"/>
        <v>83.0150704225352</v>
      </c>
      <c r="K42" s="50">
        <f>F42-865.17</f>
        <v>5028.9</v>
      </c>
      <c r="L42" s="50">
        <f>F42/865.17*100</f>
        <v>681.2614861819064</v>
      </c>
      <c r="M42" s="35">
        <f>E42-вересень!E42</f>
        <v>592.3000000000002</v>
      </c>
      <c r="N42" s="35">
        <f>F42-вересень!F42</f>
        <v>172.1199999999999</v>
      </c>
      <c r="O42" s="47">
        <f t="shared" si="3"/>
        <v>-420.1800000000003</v>
      </c>
      <c r="P42" s="50">
        <f>N42/M42*100</f>
        <v>29.05959817659967</v>
      </c>
      <c r="Q42" s="50">
        <f>N42-79.51</f>
        <v>92.60999999999989</v>
      </c>
      <c r="R42" s="126">
        <f>N42/79.51</f>
        <v>2.1647591497924776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821.61</v>
      </c>
      <c r="G43" s="135">
        <f t="shared" si="0"/>
        <v>-88.38999999999999</v>
      </c>
      <c r="H43" s="35">
        <f t="shared" si="8"/>
        <v>90.28681318681319</v>
      </c>
      <c r="I43" s="136">
        <f t="shared" si="1"/>
        <v>-278.39</v>
      </c>
      <c r="J43" s="136">
        <f t="shared" si="6"/>
        <v>74.69181818181818</v>
      </c>
      <c r="K43" s="136">
        <f>F43-757.36</f>
        <v>64.25</v>
      </c>
      <c r="L43" s="136">
        <f>F43/757.36*100</f>
        <v>108.4834160768987</v>
      </c>
      <c r="M43" s="137">
        <f>E43-вересень!E43</f>
        <v>70</v>
      </c>
      <c r="N43" s="137">
        <f>F43-вересень!F43</f>
        <v>19.769999999999982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5027.64</v>
      </c>
      <c r="G46" s="135">
        <f t="shared" si="0"/>
        <v>-382.3599999999997</v>
      </c>
      <c r="H46" s="35">
        <f t="shared" si="8"/>
        <v>92.93234750462108</v>
      </c>
      <c r="I46" s="136">
        <f t="shared" si="1"/>
        <v>-890.3599999999997</v>
      </c>
      <c r="J46" s="136">
        <f t="shared" si="6"/>
        <v>84.95505238256168</v>
      </c>
      <c r="K46" s="136">
        <f>F46-107.81</f>
        <v>4919.83</v>
      </c>
      <c r="L46" s="136">
        <f>F46/107.81*100</f>
        <v>4663.426398293294</v>
      </c>
      <c r="M46" s="137">
        <f>E46-вересень!E46</f>
        <v>512</v>
      </c>
      <c r="N46" s="137">
        <f>F46-вересень!F46</f>
        <v>152.35000000000036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3795.97</v>
      </c>
      <c r="G48" s="43">
        <f t="shared" si="0"/>
        <v>345.9699999999998</v>
      </c>
      <c r="H48" s="35">
        <f>F48/E48*100</f>
        <v>110.02811594202898</v>
      </c>
      <c r="I48" s="50">
        <f t="shared" si="1"/>
        <v>-404.0300000000002</v>
      </c>
      <c r="J48" s="50">
        <f>F48/D48*100</f>
        <v>90.38023809523808</v>
      </c>
      <c r="K48" s="50">
        <f>F48-3446.94</f>
        <v>349.02999999999975</v>
      </c>
      <c r="L48" s="50">
        <f>F48/3446.94*100</f>
        <v>110.12579273210441</v>
      </c>
      <c r="M48" s="35">
        <f>E48-вересень!E48</f>
        <v>360</v>
      </c>
      <c r="N48" s="35">
        <f>F48-вересень!F48</f>
        <v>224.51999999999998</v>
      </c>
      <c r="O48" s="47">
        <f t="shared" si="3"/>
        <v>-135.48000000000002</v>
      </c>
      <c r="P48" s="50">
        <f aca="true" t="shared" si="9" ref="P48:P53">N48/M48*100</f>
        <v>62.36666666666666</v>
      </c>
      <c r="Q48" s="50">
        <f>N48-277.38</f>
        <v>-52.860000000000014</v>
      </c>
      <c r="R48" s="126">
        <f>N48/277.38</f>
        <v>0.8094311053428509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1026.3</v>
      </c>
      <c r="G51" s="135">
        <f t="shared" si="0"/>
        <v>1026.3</v>
      </c>
      <c r="H51" s="137"/>
      <c r="I51" s="136">
        <f t="shared" si="1"/>
        <v>1026.3</v>
      </c>
      <c r="J51" s="136"/>
      <c r="K51" s="219">
        <f>F51-838.39</f>
        <v>187.90999999999997</v>
      </c>
      <c r="L51" s="219">
        <f>F51/838.39*100</f>
        <v>122.41319672228914</v>
      </c>
      <c r="M51" s="35">
        <f>E51-вересень!E51</f>
        <v>0</v>
      </c>
      <c r="N51" s="35">
        <f>F51-вересень!F51</f>
        <v>47.09999999999991</v>
      </c>
      <c r="O51" s="138">
        <f t="shared" si="3"/>
        <v>47.09999999999991</v>
      </c>
      <c r="P51" s="136"/>
      <c r="Q51" s="50">
        <f>N51-64.93</f>
        <v>-17.830000000000098</v>
      </c>
      <c r="R51" s="126">
        <f>N51/64.93</f>
        <v>0.7253965809333113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528942.2200000002</v>
      </c>
      <c r="G55" s="44">
        <f>F55-E55</f>
        <v>-7155.1199999997625</v>
      </c>
      <c r="H55" s="45">
        <f>F55/E55*100</f>
        <v>98.66533193393578</v>
      </c>
      <c r="I55" s="31">
        <f>F55-D55</f>
        <v>-79012.84999999974</v>
      </c>
      <c r="J55" s="31">
        <f>F55/D55*100</f>
        <v>87.00350504520017</v>
      </c>
      <c r="K55" s="31">
        <f>K8+K33+K53+K54</f>
        <v>116907.17800000003</v>
      </c>
      <c r="L55" s="31">
        <f>F55/(F55-K55)*100</f>
        <v>128.3731154108975</v>
      </c>
      <c r="M55" s="18">
        <f>M8+M33+M53+M54</f>
        <v>50675.44</v>
      </c>
      <c r="N55" s="18">
        <f>N8+N33+N53+N54</f>
        <v>19803.61000000005</v>
      </c>
      <c r="O55" s="49">
        <f>N55-M55</f>
        <v>-30871.82999999995</v>
      </c>
      <c r="P55" s="31">
        <f>N55/M55*100</f>
        <v>39.079305478156776</v>
      </c>
      <c r="Q55" s="31">
        <f>N55-34768</f>
        <v>-14964.389999999948</v>
      </c>
      <c r="R55" s="171">
        <f>N55/34768</f>
        <v>0.5695930165669596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6497.64</v>
      </c>
      <c r="G65" s="43">
        <f t="shared" si="10"/>
        <v>-238.33999999999924</v>
      </c>
      <c r="H65" s="35">
        <f>F65/E65*100</f>
        <v>96.46168783161471</v>
      </c>
      <c r="I65" s="53">
        <f t="shared" si="11"/>
        <v>-5078.36</v>
      </c>
      <c r="J65" s="53">
        <f t="shared" si="13"/>
        <v>56.130269523151355</v>
      </c>
      <c r="K65" s="53">
        <f>F65-2762.1</f>
        <v>3735.5400000000004</v>
      </c>
      <c r="L65" s="53">
        <f>F65/2762.1*100</f>
        <v>235.24275008145977</v>
      </c>
      <c r="M65" s="35">
        <f>E65-вересень!E65</f>
        <v>1273.8199999999997</v>
      </c>
      <c r="N65" s="35">
        <f>F65-вересень!F65</f>
        <v>2510.01</v>
      </c>
      <c r="O65" s="47">
        <f t="shared" si="12"/>
        <v>1236.1900000000005</v>
      </c>
      <c r="P65" s="53">
        <f>N65/M65*100</f>
        <v>197.04589345433428</v>
      </c>
      <c r="Q65" s="53">
        <f>N65-450.01</f>
        <v>2060</v>
      </c>
      <c r="R65" s="129">
        <f>N65/450.01</f>
        <v>5.577676051643297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8949.83</v>
      </c>
      <c r="G67" s="55">
        <f t="shared" si="10"/>
        <v>-719.0499999999993</v>
      </c>
      <c r="H67" s="65">
        <f>F67/E67*100</f>
        <v>92.56325448242197</v>
      </c>
      <c r="I67" s="54">
        <f t="shared" si="11"/>
        <v>-8126.17</v>
      </c>
      <c r="J67" s="54">
        <f t="shared" si="13"/>
        <v>52.41174748184586</v>
      </c>
      <c r="K67" s="54">
        <f>K64+K65+K66</f>
        <v>3298.9200000000005</v>
      </c>
      <c r="L67" s="54"/>
      <c r="M67" s="55">
        <f>M64+M65+M66</f>
        <v>1421.9199999999998</v>
      </c>
      <c r="N67" s="55">
        <f>N64+N65+N66</f>
        <v>2510.0200000000004</v>
      </c>
      <c r="O67" s="54">
        <f t="shared" si="12"/>
        <v>1088.1000000000006</v>
      </c>
      <c r="P67" s="54">
        <f>N67/M67*100</f>
        <v>176.5232924496456</v>
      </c>
      <c r="Q67" s="54">
        <f>N67-7985.28</f>
        <v>-5475.259999999999</v>
      </c>
      <c r="R67" s="173">
        <f>N67/7985.28</f>
        <v>0.31433086879858946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29.22</v>
      </c>
      <c r="G72" s="43">
        <f>F72-E72</f>
        <v>-4.200000000000003</v>
      </c>
      <c r="H72" s="35">
        <f>F72/E72*100</f>
        <v>87.4326750448833</v>
      </c>
      <c r="I72" s="53">
        <f>F72-D72</f>
        <v>-12.780000000000001</v>
      </c>
      <c r="J72" s="53">
        <f>F72/D72*100</f>
        <v>69.57142857142857</v>
      </c>
      <c r="K72" s="53">
        <f>F72-33.03</f>
        <v>-3.8100000000000023</v>
      </c>
      <c r="L72" s="53">
        <f>F72/33.03*100</f>
        <v>88.46503178928246</v>
      </c>
      <c r="M72" s="35">
        <f>E72-вересень!E72</f>
        <v>1.2000000000000028</v>
      </c>
      <c r="N72" s="35">
        <f>F72-вересень!F72</f>
        <v>0</v>
      </c>
      <c r="O72" s="47">
        <f>N72-M72</f>
        <v>-1.2000000000000028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8925.85</v>
      </c>
      <c r="G74" s="44">
        <f>F74-E74</f>
        <v>-825.4499999999989</v>
      </c>
      <c r="H74" s="45">
        <f>F74/E74*100</f>
        <v>91.53497482386965</v>
      </c>
      <c r="I74" s="31">
        <f>F74-D74</f>
        <v>-8246.15</v>
      </c>
      <c r="J74" s="31">
        <f>F74/D74*100</f>
        <v>51.97909387374796</v>
      </c>
      <c r="K74" s="31">
        <f>K62+K67+K71+K72</f>
        <v>2922.6800000000007</v>
      </c>
      <c r="L74" s="31"/>
      <c r="M74" s="27">
        <f>M62+M72+M67+M71</f>
        <v>1435.12</v>
      </c>
      <c r="N74" s="27">
        <f>N62+N72+N67+N71+N73</f>
        <v>2506.9700000000003</v>
      </c>
      <c r="O74" s="31">
        <f>N74-M74</f>
        <v>1071.8500000000004</v>
      </c>
      <c r="P74" s="31">
        <f>N74/M74*100</f>
        <v>174.68713417693297</v>
      </c>
      <c r="Q74" s="31">
        <f>N74-8104.96</f>
        <v>-5597.99</v>
      </c>
      <c r="R74" s="127">
        <f>N74/8104.96</f>
        <v>0.30931306261844604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537868.0700000002</v>
      </c>
      <c r="G75" s="44">
        <f>F75-E75</f>
        <v>-7980.569999999832</v>
      </c>
      <c r="H75" s="45">
        <f>F75/E75*100</f>
        <v>98.53795183954294</v>
      </c>
      <c r="I75" s="31">
        <f>F75-D75</f>
        <v>-87258.99999999977</v>
      </c>
      <c r="J75" s="31">
        <f>F75/D75*100</f>
        <v>86.04139795129976</v>
      </c>
      <c r="K75" s="31">
        <f>K55+K74</f>
        <v>119829.85800000004</v>
      </c>
      <c r="L75" s="31">
        <f>F75/(F75-K75)*100</f>
        <v>128.66480971361537</v>
      </c>
      <c r="M75" s="18">
        <f>M55+M74</f>
        <v>52110.560000000005</v>
      </c>
      <c r="N75" s="18">
        <f>N55+N74</f>
        <v>22310.580000000053</v>
      </c>
      <c r="O75" s="31">
        <f>N75-M75</f>
        <v>-29799.979999999952</v>
      </c>
      <c r="P75" s="31">
        <f>N75/M75*100</f>
        <v>42.81393253114158</v>
      </c>
      <c r="Q75" s="31">
        <f>N75-42872.96</f>
        <v>-20562.379999999946</v>
      </c>
      <c r="R75" s="127">
        <f>N75/42872.96</f>
        <v>0.5203881420830297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13</v>
      </c>
      <c r="D77" s="4" t="s">
        <v>118</v>
      </c>
    </row>
    <row r="78" spans="2:17" ht="31.5">
      <c r="B78" s="71" t="s">
        <v>154</v>
      </c>
      <c r="C78" s="34">
        <f>IF(O55&lt;0,ABS(O55/C77),0)</f>
        <v>2374.75615384615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42289</v>
      </c>
      <c r="D79" s="34">
        <v>1284.6</v>
      </c>
      <c r="G79" s="4" t="s">
        <v>166</v>
      </c>
      <c r="N79" s="236"/>
      <c r="O79" s="236"/>
    </row>
    <row r="80" spans="3:15" ht="15.75">
      <c r="C80" s="111">
        <v>42286</v>
      </c>
      <c r="D80" s="34">
        <v>1843.9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42285</v>
      </c>
      <c r="D81" s="34">
        <v>1539.8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2972.49707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2015-10-13T07:31:54Z</cp:lastPrinted>
  <dcterms:created xsi:type="dcterms:W3CDTF">2003-07-28T11:27:56Z</dcterms:created>
  <dcterms:modified xsi:type="dcterms:W3CDTF">2015-10-13T07:55:26Z</dcterms:modified>
  <cp:category/>
  <cp:version/>
  <cp:contentType/>
  <cp:contentStatus/>
</cp:coreProperties>
</file>